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autoCompressPictures="0"/>
  <mc:AlternateContent xmlns:mc="http://schemas.openxmlformats.org/markup-compatibility/2006">
    <mc:Choice Requires="x15">
      <x15ac:absPath xmlns:x15ac="http://schemas.microsoft.com/office/spreadsheetml/2010/11/ac" url="D:\PROJET MAQUETTES MESURES\BANC MCC Mesures moteurs lycée\Pololu 3487 études banc MCC\"/>
    </mc:Choice>
  </mc:AlternateContent>
  <xr:revisionPtr revIDLastSave="0" documentId="13_ncr:1_{9A68D74C-C2F9-48A2-8C0C-4E7DF2F2B39F}" xr6:coauthVersionLast="40" xr6:coauthVersionMax="40" xr10:uidLastSave="{00000000-0000-0000-0000-000000000000}"/>
  <bookViews>
    <workbookView xWindow="555" yWindow="555" windowWidth="26475" windowHeight="15300" xr2:uid="{00000000-000D-0000-FFFF-FFFF00000000}"/>
  </bookViews>
  <sheets>
    <sheet name="Feuil1" sheetId="1" r:id="rId1"/>
  </sheet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0" i="1"/>
  <c r="N36" i="1"/>
  <c r="F21" i="1" l="1"/>
  <c r="F22" i="1"/>
  <c r="F23" i="1"/>
  <c r="F24" i="1"/>
  <c r="F25" i="1"/>
  <c r="F20" i="1" l="1"/>
  <c r="D32" i="1" l="1"/>
  <c r="D35" i="1" s="1"/>
  <c r="D31" i="1"/>
  <c r="H22" i="1" l="1"/>
  <c r="J22" i="1" s="1"/>
  <c r="K22" i="1" s="1"/>
  <c r="H23" i="1"/>
  <c r="J23" i="1" s="1"/>
  <c r="K23" i="1" s="1"/>
  <c r="H24" i="1"/>
  <c r="J24" i="1" s="1"/>
  <c r="K24" i="1" s="1"/>
  <c r="H25" i="1"/>
  <c r="J25" i="1" s="1"/>
  <c r="K25" i="1" s="1"/>
  <c r="H20" i="1"/>
  <c r="J20" i="1" s="1"/>
  <c r="K20" i="1" s="1"/>
  <c r="H21" i="1"/>
  <c r="J21" i="1" s="1"/>
  <c r="K21" i="1" s="1"/>
  <c r="D36" i="1"/>
  <c r="F10" i="1"/>
  <c r="F11" i="1"/>
  <c r="F12" i="1"/>
  <c r="F13" i="1"/>
  <c r="F9" i="1"/>
  <c r="N32" i="1" l="1"/>
  <c r="N35" i="1" s="1"/>
  <c r="E47" i="1" s="1"/>
  <c r="N31" i="1"/>
  <c r="E48" i="1" s="1"/>
  <c r="E50" i="1" l="1"/>
  <c r="G54" i="1" s="1"/>
</calcChain>
</file>

<file path=xl/sharedStrings.xml><?xml version="1.0" encoding="utf-8"?>
<sst xmlns="http://schemas.openxmlformats.org/spreadsheetml/2006/main" count="71" uniqueCount="50">
  <si>
    <t>U</t>
  </si>
  <si>
    <t>I</t>
  </si>
  <si>
    <t>tr/min</t>
  </si>
  <si>
    <t>volts</t>
  </si>
  <si>
    <t>A vide</t>
  </si>
  <si>
    <t>Courbe de type y = a.x + b</t>
  </si>
  <si>
    <t>|a| =</t>
  </si>
  <si>
    <t>|b| =</t>
  </si>
  <si>
    <t>k =</t>
  </si>
  <si>
    <t>R =</t>
  </si>
  <si>
    <t>Calculs des constantes k et R :</t>
  </si>
  <si>
    <t>A</t>
  </si>
  <si>
    <t>f</t>
  </si>
  <si>
    <t>Calculs des constantes C_perte_sec et f :</t>
  </si>
  <si>
    <t>rad/s</t>
  </si>
  <si>
    <t>Sous charge sans modifier U</t>
  </si>
  <si>
    <t>A vide, mesurez U, N et I :</t>
  </si>
  <si>
    <t>A compléter</t>
  </si>
  <si>
    <t>Calcul automatique</t>
  </si>
  <si>
    <t>Cfs</t>
  </si>
  <si>
    <t>N.m.s</t>
  </si>
  <si>
    <t>N.m</t>
  </si>
  <si>
    <t>Ω</t>
  </si>
  <si>
    <t>N.m/A</t>
  </si>
  <si>
    <t>Nms</t>
  </si>
  <si>
    <t>Nm</t>
  </si>
  <si>
    <t>s</t>
  </si>
  <si>
    <t>kg.m²</t>
  </si>
  <si>
    <t>Conditions initiales pour le calcul</t>
  </si>
  <si>
    <t>temps d'arrêt</t>
  </si>
  <si>
    <t>charge</t>
  </si>
  <si>
    <t>Nred</t>
  </si>
  <si>
    <t>Evaluation de l'inertie moteur (J) :</t>
  </si>
  <si>
    <t>Calcul de l'inertie totale rapportée à l'axe moteur :</t>
  </si>
  <si>
    <t>Inertie de l'arbre tourant issue de SolidWorks :</t>
  </si>
  <si>
    <t>Inertie totale</t>
  </si>
  <si>
    <t>V</t>
  </si>
  <si>
    <t>A tension constante, faire varier la charge, mesurez U, N et I, indiquez la charge appliquée :</t>
  </si>
  <si>
    <t>Relevé de a et b :</t>
  </si>
  <si>
    <t>Inertie motoréducteur à l'axe de sortie :</t>
  </si>
  <si>
    <t>ωred</t>
  </si>
  <si>
    <t>g (pour vérif)</t>
  </si>
  <si>
    <t>couple équiv.</t>
  </si>
  <si>
    <t>W</t>
  </si>
  <si>
    <t>P sortie (méca)</t>
  </si>
  <si>
    <t>Rendement</t>
  </si>
  <si>
    <t>%</t>
  </si>
  <si>
    <t>La linéarité de ces courbes est  l'image de la qualité de vos mesures</t>
  </si>
  <si>
    <t>La linéarité de cette courbe est  l'image de la qualité de vos mesures</t>
  </si>
  <si>
    <t>kg.cm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</si>
</sst>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0" fillId="0" borderId="0" xfId="0" applyFill="1" applyBorder="1"/>
    <xf numFmtId="11" fontId="0" fillId="0" borderId="0" xfId="0" applyNumberFormat="1" applyFill="1" applyBorder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4" fillId="0" borderId="0" xfId="0" applyFont="1"/>
    <xf numFmtId="0" fontId="0" fillId="0" borderId="3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0" fillId="3" borderId="2" xfId="0" applyFill="1" applyBorder="1" applyAlignment="1">
      <alignment horizontal="center" vertical="center"/>
    </xf>
    <xf numFmtId="0" fontId="0" fillId="2" borderId="1" xfId="0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0" fillId="2" borderId="3" xfId="0" applyFill="1" applyBorder="1"/>
    <xf numFmtId="0" fontId="0" fillId="3" borderId="1" xfId="0" applyFill="1" applyBorder="1"/>
    <xf numFmtId="0" fontId="0" fillId="3" borderId="3" xfId="0" applyFill="1" applyBorder="1"/>
    <xf numFmtId="0" fontId="0" fillId="0" borderId="2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4" borderId="0" xfId="0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l-G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l-G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ωred=f(U) (à vide)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l-GR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ωred=f(U) (à vide)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Feuil1!$C$9:$C$13</c:f>
              <c:numCache>
                <c:formatCode>General</c:formatCode>
                <c:ptCount val="5"/>
              </c:numCache>
            </c:numRef>
          </c:xVal>
          <c:yVal>
            <c:numRef>
              <c:f>Feuil1!$F$9:$F$13</c:f>
              <c:numCache>
                <c:formatCode>General</c:formatCode>
                <c:ptCount val="5"/>
                <c:pt idx="0">
                  <c:v>17.592918860102841</c:v>
                </c:pt>
                <c:pt idx="1">
                  <c:v>25.761059759436304</c:v>
                </c:pt>
                <c:pt idx="2">
                  <c:v>33.719761148530445</c:v>
                </c:pt>
                <c:pt idx="3">
                  <c:v>37.594392087957857</c:v>
                </c:pt>
                <c:pt idx="4">
                  <c:v>44.401176170735745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7D-4CCB-8803-2CAA3E16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655328"/>
        <c:axId val="347991184"/>
      </c:scatterChart>
      <c:valAx>
        <c:axId val="39165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7991184"/>
        <c:crosses val="autoZero"/>
        <c:crossBetween val="midCat"/>
      </c:valAx>
      <c:valAx>
        <c:axId val="34799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65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ctr" rtl="0">
            <a:defRPr lang="el-GR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ωred=f(I) (sous charge à U constant)</c:v>
          </c:tx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5377972629331348E-4"/>
                  <c:y val="9.205193355595334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Feuil1!$D$20:$D$25</c:f>
              <c:numCache>
                <c:formatCode>General</c:formatCode>
                <c:ptCount val="6"/>
                <c:pt idx="0">
                  <c:v>0.14499999999999999</c:v>
                </c:pt>
                <c:pt idx="1">
                  <c:v>0.19</c:v>
                </c:pt>
                <c:pt idx="2">
                  <c:v>0.27</c:v>
                </c:pt>
                <c:pt idx="3">
                  <c:v>0.33</c:v>
                </c:pt>
                <c:pt idx="4">
                  <c:v>0.56000000000000005</c:v>
                </c:pt>
                <c:pt idx="5">
                  <c:v>0.59</c:v>
                </c:pt>
              </c:numCache>
            </c:numRef>
          </c:xVal>
          <c:yVal>
            <c:numRef>
              <c:f>Feuil1!$F$20:$F$25</c:f>
              <c:numCache>
                <c:formatCode>General</c:formatCode>
                <c:ptCount val="6"/>
                <c:pt idx="0">
                  <c:v>42.725660088821186</c:v>
                </c:pt>
                <c:pt idx="1">
                  <c:v>41.050144006906628</c:v>
                </c:pt>
                <c:pt idx="2">
                  <c:v>38.013271108436498</c:v>
                </c:pt>
                <c:pt idx="3">
                  <c:v>36.33775502652194</c:v>
                </c:pt>
                <c:pt idx="4">
                  <c:v>28.064894372068817</c:v>
                </c:pt>
                <c:pt idx="5">
                  <c:v>27.227136331111538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28C-4752-9806-6FC95636E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54160"/>
        <c:axId val="392556480"/>
      </c:scatterChart>
      <c:valAx>
        <c:axId val="39255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556480"/>
        <c:crosses val="autoZero"/>
        <c:crossBetween val="midCat"/>
      </c:valAx>
      <c:valAx>
        <c:axId val="39255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554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I=f(ωred) (à vide)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7382067898314991E-2"/>
                  <c:y val="0.144546785950553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Feuil1!$F$9:$F$13</c:f>
              <c:numCache>
                <c:formatCode>General</c:formatCode>
                <c:ptCount val="5"/>
                <c:pt idx="0">
                  <c:v>17.592918860102841</c:v>
                </c:pt>
                <c:pt idx="1">
                  <c:v>25.761059759436304</c:v>
                </c:pt>
                <c:pt idx="2">
                  <c:v>33.719761148530445</c:v>
                </c:pt>
                <c:pt idx="3">
                  <c:v>37.594392087957857</c:v>
                </c:pt>
                <c:pt idx="4">
                  <c:v>44.401176170735745</c:v>
                </c:pt>
              </c:numCache>
            </c:numRef>
          </c:xVal>
          <c:yVal>
            <c:numRef>
              <c:f>Feuil1!$D$9:$D$13</c:f>
              <c:numCache>
                <c:formatCode>General</c:formatCode>
                <c:ptCount val="5"/>
                <c:pt idx="0">
                  <c:v>5.8000000000000003E-2</c:v>
                </c:pt>
                <c:pt idx="1">
                  <c:v>6.0999999999999999E-2</c:v>
                </c:pt>
                <c:pt idx="2">
                  <c:v>6.3399999999999998E-2</c:v>
                </c:pt>
                <c:pt idx="3">
                  <c:v>6.5000000000000002E-2</c:v>
                </c:pt>
                <c:pt idx="4">
                  <c:v>6.7500000000000004E-2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D9-42C2-B0F8-4D2700210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79024"/>
        <c:axId val="392581344"/>
      </c:scatterChart>
      <c:valAx>
        <c:axId val="3925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581344"/>
        <c:crosses val="autoZero"/>
        <c:crossBetween val="midCat"/>
      </c:valAx>
      <c:valAx>
        <c:axId val="39258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57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v>w=f(couple)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Feuil1!$H$20:$H$25</c:f>
              <c:numCache>
                <c:formatCode>General</c:formatCode>
                <c:ptCount val="6"/>
                <c:pt idx="0">
                  <c:v>3.4673852484007381E-2</c:v>
                </c:pt>
                <c:pt idx="1">
                  <c:v>4.5434703254906228E-2</c:v>
                </c:pt>
                <c:pt idx="2">
                  <c:v>6.4565104625393069E-2</c:v>
                </c:pt>
                <c:pt idx="3">
                  <c:v>7.8912905653258189E-2</c:v>
                </c:pt>
                <c:pt idx="4">
                  <c:v>0.13391280959340784</c:v>
                </c:pt>
                <c:pt idx="5">
                  <c:v>0.14108671010734039</c:v>
                </c:pt>
              </c:numCache>
            </c:numRef>
          </c:xVal>
          <c:yVal>
            <c:numRef>
              <c:f>Feuil1!$F$20:$F$25</c:f>
              <c:numCache>
                <c:formatCode>General</c:formatCode>
                <c:ptCount val="6"/>
                <c:pt idx="0">
                  <c:v>42.725660088821186</c:v>
                </c:pt>
                <c:pt idx="1">
                  <c:v>41.050144006906628</c:v>
                </c:pt>
                <c:pt idx="2">
                  <c:v>38.013271108436498</c:v>
                </c:pt>
                <c:pt idx="3">
                  <c:v>36.33775502652194</c:v>
                </c:pt>
                <c:pt idx="4">
                  <c:v>28.064894372068817</c:v>
                </c:pt>
                <c:pt idx="5">
                  <c:v>27.227136331111538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F8-4B16-B65F-7455E03EDE86}"/>
            </c:ext>
          </c:extLst>
        </c:ser>
        <c:ser>
          <c:idx val="3"/>
          <c:order val="3"/>
          <c:tx>
            <c:v>Rendement=f(couple)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Feuil1!$H$20:$H$25</c:f>
              <c:numCache>
                <c:formatCode>General</c:formatCode>
                <c:ptCount val="6"/>
                <c:pt idx="0">
                  <c:v>3.4673852484007381E-2</c:v>
                </c:pt>
                <c:pt idx="1">
                  <c:v>4.5434703254906228E-2</c:v>
                </c:pt>
                <c:pt idx="2">
                  <c:v>6.4565104625393069E-2</c:v>
                </c:pt>
                <c:pt idx="3">
                  <c:v>7.8912905653258189E-2</c:v>
                </c:pt>
                <c:pt idx="4">
                  <c:v>0.13391280959340784</c:v>
                </c:pt>
                <c:pt idx="5">
                  <c:v>0.14108671010734039</c:v>
                </c:pt>
              </c:numCache>
            </c:numRef>
          </c:xVal>
          <c:yVal>
            <c:numRef>
              <c:f>Feuil1!$K$20:$K$25</c:f>
              <c:numCache>
                <c:formatCode>General</c:formatCode>
                <c:ptCount val="6"/>
                <c:pt idx="0">
                  <c:v>89.622700254181936</c:v>
                </c:pt>
                <c:pt idx="1">
                  <c:v>86.10808455793952</c:v>
                </c:pt>
                <c:pt idx="2">
                  <c:v>79.737843608500128</c:v>
                </c:pt>
                <c:pt idx="3">
                  <c:v>76.223227912257684</c:v>
                </c:pt>
                <c:pt idx="4">
                  <c:v>58.869812912060695</c:v>
                </c:pt>
                <c:pt idx="5">
                  <c:v>57.11250506393948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F8-4B16-B65F-7455E03ED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005712"/>
        <c:axId val="232587232"/>
      </c:scatterChart>
      <c:scatterChart>
        <c:scatterStyle val="smoothMarker"/>
        <c:varyColors val="0"/>
        <c:ser>
          <c:idx val="0"/>
          <c:order val="0"/>
          <c:tx>
            <c:v>I=f(couple)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Feuil1!$H$20:$H$25</c:f>
              <c:numCache>
                <c:formatCode>General</c:formatCode>
                <c:ptCount val="6"/>
                <c:pt idx="0">
                  <c:v>3.4673852484007381E-2</c:v>
                </c:pt>
                <c:pt idx="1">
                  <c:v>4.5434703254906228E-2</c:v>
                </c:pt>
                <c:pt idx="2">
                  <c:v>6.4565104625393069E-2</c:v>
                </c:pt>
                <c:pt idx="3">
                  <c:v>7.8912905653258189E-2</c:v>
                </c:pt>
                <c:pt idx="4">
                  <c:v>0.13391280959340784</c:v>
                </c:pt>
                <c:pt idx="5">
                  <c:v>0.14108671010734039</c:v>
                </c:pt>
              </c:numCache>
            </c:numRef>
          </c:xVal>
          <c:yVal>
            <c:numRef>
              <c:f>Feuil1!$D$20:$D$25</c:f>
              <c:numCache>
                <c:formatCode>General</c:formatCode>
                <c:ptCount val="6"/>
                <c:pt idx="0">
                  <c:v>0.14499999999999999</c:v>
                </c:pt>
                <c:pt idx="1">
                  <c:v>0.19</c:v>
                </c:pt>
                <c:pt idx="2">
                  <c:v>0.27</c:v>
                </c:pt>
                <c:pt idx="3">
                  <c:v>0.33</c:v>
                </c:pt>
                <c:pt idx="4">
                  <c:v>0.56000000000000005</c:v>
                </c:pt>
                <c:pt idx="5">
                  <c:v>0.59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F8-4B16-B65F-7455E03EDE86}"/>
            </c:ext>
          </c:extLst>
        </c:ser>
        <c:ser>
          <c:idx val="2"/>
          <c:order val="2"/>
          <c:tx>
            <c:v>P=f(couple)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Feuil1!$H$20:$H$25</c:f>
              <c:numCache>
                <c:formatCode>General</c:formatCode>
                <c:ptCount val="6"/>
                <c:pt idx="0">
                  <c:v>3.4673852484007381E-2</c:v>
                </c:pt>
                <c:pt idx="1">
                  <c:v>4.5434703254906228E-2</c:v>
                </c:pt>
                <c:pt idx="2">
                  <c:v>6.4565104625393069E-2</c:v>
                </c:pt>
                <c:pt idx="3">
                  <c:v>7.8912905653258189E-2</c:v>
                </c:pt>
                <c:pt idx="4">
                  <c:v>0.13391280959340784</c:v>
                </c:pt>
                <c:pt idx="5">
                  <c:v>0.14108671010734039</c:v>
                </c:pt>
              </c:numCache>
            </c:numRef>
          </c:xVal>
          <c:yVal>
            <c:numRef>
              <c:f>Feuil1!$J$20:$J$25</c:f>
              <c:numCache>
                <c:formatCode>General</c:formatCode>
                <c:ptCount val="6"/>
                <c:pt idx="0">
                  <c:v>1.4814632352016275</c:v>
                </c:pt>
                <c:pt idx="1">
                  <c:v>1.86510111152497</c:v>
                </c:pt>
                <c:pt idx="2">
                  <c:v>2.4543308262696342</c:v>
                </c:pt>
                <c:pt idx="3">
                  <c:v>2.8675178340591345</c:v>
                </c:pt>
                <c:pt idx="4">
                  <c:v>3.7582488563059551</c:v>
                </c:pt>
                <c:pt idx="5">
                  <c:v>3.8413870906005689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F8-4B16-B65F-7455E03ED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039712"/>
        <c:axId val="554038464"/>
      </c:scatterChart>
      <c:valAx>
        <c:axId val="55500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32587232"/>
        <c:crosses val="autoZero"/>
        <c:crossBetween val="midCat"/>
      </c:valAx>
      <c:valAx>
        <c:axId val="23258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5005712"/>
        <c:crosses val="autoZero"/>
        <c:crossBetween val="midCat"/>
      </c:valAx>
      <c:valAx>
        <c:axId val="5540384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4039712"/>
        <c:crosses val="max"/>
        <c:crossBetween val="midCat"/>
      </c:valAx>
      <c:valAx>
        <c:axId val="554039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4038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22413</xdr:colOff>
      <xdr:row>2</xdr:row>
      <xdr:rowOff>64995</xdr:rowOff>
    </xdr:from>
    <xdr:to>
      <xdr:col>13</xdr:col>
      <xdr:colOff>403412</xdr:colOff>
      <xdr:row>15</xdr:row>
      <xdr:rowOff>78440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66B2039-19DF-4E2A-8A4A-3309673CB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11206</xdr:colOff>
      <xdr:row>27</xdr:row>
      <xdr:rowOff>33619</xdr:rowOff>
    </xdr:from>
    <xdr:to>
      <xdr:col>11</xdr:col>
      <xdr:colOff>11206</xdr:colOff>
      <xdr:row>40</xdr:row>
      <xdr:rowOff>168089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8E06609B-93EC-40C1-A07D-51680B6C2C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9526</xdr:colOff>
      <xdr:row>2</xdr:row>
      <xdr:rowOff>56029</xdr:rowOff>
    </xdr:from>
    <xdr:to>
      <xdr:col>19</xdr:col>
      <xdr:colOff>0</xdr:colOff>
      <xdr:row>15</xdr:row>
      <xdr:rowOff>67234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C290C82A-2A67-43F0-92ED-32F0B7CF76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156882</xdr:colOff>
      <xdr:row>31</xdr:row>
      <xdr:rowOff>22412</xdr:rowOff>
    </xdr:from>
    <xdr:to>
      <xdr:col>6</xdr:col>
      <xdr:colOff>11206</xdr:colOff>
      <xdr:row>34</xdr:row>
      <xdr:rowOff>5604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3FA4B34B-F265-410F-9C6E-7A9E729A1CD9}"/>
            </a:ext>
          </a:extLst>
        </xdr:cNvPr>
        <xdr:cNvCxnSpPr>
          <a:endCxn id="4" idx="1"/>
        </xdr:cNvCxnSpPr>
      </xdr:nvCxnSpPr>
      <xdr:spPr>
        <a:xfrm>
          <a:off x="3305735" y="5927912"/>
          <a:ext cx="1512795" cy="554692"/>
        </a:xfrm>
        <a:prstGeom prst="straightConnector1">
          <a:avLst/>
        </a:prstGeom>
        <a:ln>
          <a:headEnd type="triangle" w="med" len="med"/>
          <a:tailEnd type="none" w="med" len="me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112059</xdr:colOff>
      <xdr:row>15</xdr:row>
      <xdr:rowOff>67234</xdr:rowOff>
    </xdr:from>
    <xdr:to>
      <xdr:col>16</xdr:col>
      <xdr:colOff>380159</xdr:colOff>
      <xdr:row>27</xdr:row>
      <xdr:rowOff>168089</xdr:rowOff>
    </xdr:to>
    <xdr:cxnSp macro="">
      <xdr:nvCxnSpPr>
        <xdr:cNvPr id="9" name="Connecteur droit avec flèche 8">
          <a:extLst>
            <a:ext uri="{FF2B5EF4-FFF2-40B4-BE49-F238E27FC236}">
              <a16:creationId xmlns:a16="http://schemas.microsoft.com/office/drawing/2014/main" id="{3E951CB4-428E-4DF3-83FF-594FAAF0F52A}"/>
            </a:ext>
          </a:extLst>
        </xdr:cNvPr>
        <xdr:cNvCxnSpPr>
          <a:endCxn id="5" idx="2"/>
        </xdr:cNvCxnSpPr>
      </xdr:nvCxnSpPr>
      <xdr:spPr>
        <a:xfrm flipV="1">
          <a:off x="10802471" y="2924734"/>
          <a:ext cx="2666159" cy="2386855"/>
        </a:xfrm>
        <a:prstGeom prst="straightConnector1">
          <a:avLst/>
        </a:prstGeom>
        <a:ln>
          <a:headEnd type="triangle" w="med" len="med"/>
          <a:tailEnd type="none" w="med" len="me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1281</xdr:colOff>
      <xdr:row>17</xdr:row>
      <xdr:rowOff>14568</xdr:rowOff>
    </xdr:from>
    <xdr:to>
      <xdr:col>23</xdr:col>
      <xdr:colOff>394686</xdr:colOff>
      <xdr:row>36</xdr:row>
      <xdr:rowOff>47063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C7633525-FC9E-4D4C-A7C8-17F073D5D1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54"/>
  <sheetViews>
    <sheetView tabSelected="1" topLeftCell="A16" zoomScale="85" zoomScaleNormal="85" workbookViewId="0">
      <selection activeCell="N48" sqref="N48:O49"/>
    </sheetView>
  </sheetViews>
  <sheetFormatPr baseColWidth="10" defaultRowHeight="15" x14ac:dyDescent="0.25"/>
  <cols>
    <col min="4" max="4" width="12.85546875" bestFit="1" customWidth="1"/>
    <col min="5" max="5" width="12.85546875" customWidth="1"/>
    <col min="6" max="6" width="12" customWidth="1"/>
    <col min="7" max="7" width="19.28515625" bestFit="1" customWidth="1"/>
    <col min="8" max="8" width="13.42578125" bestFit="1" customWidth="1"/>
    <col min="9" max="9" width="14.7109375" bestFit="1" customWidth="1"/>
    <col min="10" max="10" width="13.42578125" bestFit="1" customWidth="1"/>
    <col min="11" max="11" width="14.7109375" bestFit="1" customWidth="1"/>
    <col min="12" max="13" width="12.140625" customWidth="1"/>
    <col min="14" max="14" width="12.42578125" bestFit="1" customWidth="1"/>
    <col min="15" max="15" width="12.140625" bestFit="1" customWidth="1"/>
    <col min="19" max="19" width="12" bestFit="1" customWidth="1"/>
  </cols>
  <sheetData>
    <row r="2" spans="3:19" x14ac:dyDescent="0.25">
      <c r="J2" s="27" t="s">
        <v>47</v>
      </c>
      <c r="K2" s="27"/>
      <c r="L2" s="27"/>
      <c r="M2" s="27"/>
      <c r="N2" s="27"/>
      <c r="O2" s="27"/>
      <c r="P2" s="27"/>
      <c r="Q2" s="27"/>
      <c r="R2" s="27"/>
      <c r="S2" s="27"/>
    </row>
    <row r="4" spans="3:19" x14ac:dyDescent="0.25">
      <c r="C4" s="13"/>
      <c r="D4" t="s">
        <v>17</v>
      </c>
      <c r="F4" s="14"/>
      <c r="G4" t="s">
        <v>18</v>
      </c>
    </row>
    <row r="6" spans="3:19" x14ac:dyDescent="0.25">
      <c r="C6" t="s">
        <v>16</v>
      </c>
    </row>
    <row r="7" spans="3:19" x14ac:dyDescent="0.25">
      <c r="C7" s="1" t="s">
        <v>0</v>
      </c>
      <c r="D7" s="1" t="s">
        <v>1</v>
      </c>
      <c r="E7" s="1" t="s">
        <v>31</v>
      </c>
      <c r="F7" s="6" t="s">
        <v>40</v>
      </c>
    </row>
    <row r="8" spans="3:19" x14ac:dyDescent="0.25">
      <c r="C8" s="1" t="s">
        <v>3</v>
      </c>
      <c r="D8" s="1" t="s">
        <v>11</v>
      </c>
      <c r="E8" s="1" t="s">
        <v>2</v>
      </c>
      <c r="F8" s="1" t="s">
        <v>14</v>
      </c>
    </row>
    <row r="9" spans="3:19" x14ac:dyDescent="0.25">
      <c r="C9" s="12"/>
      <c r="D9" s="12">
        <v>5.8000000000000003E-2</v>
      </c>
      <c r="E9" s="12">
        <v>168</v>
      </c>
      <c r="F9" s="11">
        <f>E9*PI()/30</f>
        <v>17.592918860102841</v>
      </c>
    </row>
    <row r="10" spans="3:19" x14ac:dyDescent="0.25">
      <c r="C10" s="12"/>
      <c r="D10" s="12">
        <v>6.0999999999999999E-2</v>
      </c>
      <c r="E10" s="12">
        <v>246</v>
      </c>
      <c r="F10" s="11">
        <f>E10*PI()/30</f>
        <v>25.761059759436304</v>
      </c>
    </row>
    <row r="11" spans="3:19" x14ac:dyDescent="0.25">
      <c r="C11" s="12"/>
      <c r="D11" s="12">
        <v>6.3399999999999998E-2</v>
      </c>
      <c r="E11" s="12">
        <v>322</v>
      </c>
      <c r="F11" s="11">
        <f>E11*PI()/30</f>
        <v>33.719761148530445</v>
      </c>
    </row>
    <row r="12" spans="3:19" x14ac:dyDescent="0.25">
      <c r="C12" s="12"/>
      <c r="D12" s="12">
        <v>6.5000000000000002E-2</v>
      </c>
      <c r="E12" s="12">
        <v>359</v>
      </c>
      <c r="F12" s="11">
        <f>E12*PI()/30</f>
        <v>37.594392087957857</v>
      </c>
    </row>
    <row r="13" spans="3:19" x14ac:dyDescent="0.25">
      <c r="C13" s="12"/>
      <c r="D13" s="12">
        <v>6.7500000000000004E-2</v>
      </c>
      <c r="E13" s="12">
        <v>424</v>
      </c>
      <c r="F13" s="11">
        <f>E13*PI()/30</f>
        <v>44.401176170735745</v>
      </c>
    </row>
    <row r="14" spans="3:19" x14ac:dyDescent="0.25">
      <c r="C14" s="24"/>
      <c r="D14" s="24"/>
      <c r="E14" s="24"/>
      <c r="F14" s="24"/>
      <c r="G14" s="24"/>
      <c r="H14" s="24"/>
    </row>
    <row r="15" spans="3:19" x14ac:dyDescent="0.25">
      <c r="C15" s="24"/>
      <c r="D15" s="24"/>
      <c r="E15" s="24"/>
      <c r="F15" s="24"/>
      <c r="G15" s="24"/>
      <c r="H15" s="24"/>
    </row>
    <row r="17" spans="2:14" x14ac:dyDescent="0.25">
      <c r="C17" t="s">
        <v>37</v>
      </c>
    </row>
    <row r="18" spans="2:14" x14ac:dyDescent="0.25">
      <c r="C18" s="1" t="s">
        <v>0</v>
      </c>
      <c r="D18" s="1" t="s">
        <v>1</v>
      </c>
      <c r="E18" s="1" t="s">
        <v>31</v>
      </c>
      <c r="F18" s="6" t="s">
        <v>40</v>
      </c>
      <c r="G18" s="1" t="s">
        <v>30</v>
      </c>
      <c r="H18" s="23" t="s">
        <v>42</v>
      </c>
      <c r="I18" s="23" t="s">
        <v>42</v>
      </c>
      <c r="J18" s="23" t="s">
        <v>44</v>
      </c>
      <c r="K18" s="23" t="s">
        <v>45</v>
      </c>
    </row>
    <row r="19" spans="2:14" x14ac:dyDescent="0.25">
      <c r="C19" s="1" t="s">
        <v>3</v>
      </c>
      <c r="D19" s="1" t="s">
        <v>11</v>
      </c>
      <c r="E19" s="1" t="s">
        <v>2</v>
      </c>
      <c r="F19" s="1" t="s">
        <v>14</v>
      </c>
      <c r="G19" s="1" t="s">
        <v>41</v>
      </c>
      <c r="H19" s="23" t="s">
        <v>21</v>
      </c>
      <c r="I19" s="23" t="s">
        <v>49</v>
      </c>
      <c r="J19" s="23" t="s">
        <v>43</v>
      </c>
      <c r="K19" s="23" t="s">
        <v>46</v>
      </c>
    </row>
    <row r="20" spans="2:14" x14ac:dyDescent="0.25">
      <c r="B20" s="3" t="s">
        <v>4</v>
      </c>
      <c r="C20" s="15">
        <v>11.4</v>
      </c>
      <c r="D20" s="12">
        <v>0.14499999999999999</v>
      </c>
      <c r="E20" s="12">
        <v>408</v>
      </c>
      <c r="F20" s="11">
        <f t="shared" ref="F20:F25" si="0">E20*PI()/30</f>
        <v>42.725660088821186</v>
      </c>
      <c r="G20" s="12"/>
      <c r="H20" s="16">
        <f>D20*$D$35</f>
        <v>3.4673852484007381E-2</v>
      </c>
      <c r="I20" s="16">
        <f>H20/10*100</f>
        <v>0.34673852484007384</v>
      </c>
      <c r="J20" s="16">
        <f>H20*F20</f>
        <v>1.4814632352016275</v>
      </c>
      <c r="K20" s="16">
        <f>J20/($C$20*D20)*100</f>
        <v>89.622700254181936</v>
      </c>
    </row>
    <row r="21" spans="2:14" ht="15" customHeight="1" x14ac:dyDescent="0.25">
      <c r="C21" s="28" t="s">
        <v>15</v>
      </c>
      <c r="D21" s="12">
        <v>0.19</v>
      </c>
      <c r="E21" s="12">
        <v>392</v>
      </c>
      <c r="F21" s="11">
        <f t="shared" si="0"/>
        <v>41.050144006906628</v>
      </c>
      <c r="G21" s="12"/>
      <c r="H21" s="16">
        <f t="shared" ref="H21:I25" si="1">D21*$D$35</f>
        <v>4.5434703254906228E-2</v>
      </c>
      <c r="I21" s="16">
        <f t="shared" ref="I21:I25" si="2">H21/10*100</f>
        <v>0.45434703254906234</v>
      </c>
      <c r="J21" s="16">
        <f>H21*F21</f>
        <v>1.86510111152497</v>
      </c>
      <c r="K21" s="16">
        <f>J21/($C$20*D21)*100</f>
        <v>86.10808455793952</v>
      </c>
    </row>
    <row r="22" spans="2:14" x14ac:dyDescent="0.25">
      <c r="C22" s="28"/>
      <c r="D22" s="12">
        <v>0.27</v>
      </c>
      <c r="E22" s="12">
        <v>363</v>
      </c>
      <c r="F22" s="11">
        <f t="shared" si="0"/>
        <v>38.013271108436498</v>
      </c>
      <c r="G22" s="12"/>
      <c r="H22" s="16">
        <f t="shared" si="1"/>
        <v>6.4565104625393069E-2</v>
      </c>
      <c r="I22" s="16">
        <f t="shared" si="2"/>
        <v>0.64565104625393066</v>
      </c>
      <c r="J22" s="16">
        <f>H22*F22</f>
        <v>2.4543308262696342</v>
      </c>
      <c r="K22" s="16">
        <f>J22/($C$20*D22)*100</f>
        <v>79.737843608500128</v>
      </c>
    </row>
    <row r="23" spans="2:14" x14ac:dyDescent="0.25">
      <c r="C23" s="28"/>
      <c r="D23" s="12">
        <v>0.33</v>
      </c>
      <c r="E23" s="12">
        <v>347</v>
      </c>
      <c r="F23" s="11">
        <f t="shared" si="0"/>
        <v>36.33775502652194</v>
      </c>
      <c r="G23" s="12"/>
      <c r="H23" s="16">
        <f t="shared" si="1"/>
        <v>7.8912905653258189E-2</v>
      </c>
      <c r="I23" s="16">
        <f t="shared" si="2"/>
        <v>0.78912905653258192</v>
      </c>
      <c r="J23" s="16">
        <f>H23*F23</f>
        <v>2.8675178340591345</v>
      </c>
      <c r="K23" s="16">
        <f>J23/($C$20*D23)*100</f>
        <v>76.223227912257684</v>
      </c>
    </row>
    <row r="24" spans="2:14" x14ac:dyDescent="0.25">
      <c r="C24" s="28"/>
      <c r="D24" s="12">
        <v>0.56000000000000005</v>
      </c>
      <c r="E24" s="12">
        <v>268</v>
      </c>
      <c r="F24" s="11">
        <f t="shared" si="0"/>
        <v>28.064894372068817</v>
      </c>
      <c r="G24" s="12"/>
      <c r="H24" s="16">
        <f t="shared" si="1"/>
        <v>0.13391280959340784</v>
      </c>
      <c r="I24" s="16">
        <f t="shared" si="2"/>
        <v>1.3391280959340783</v>
      </c>
      <c r="J24" s="16">
        <f>H24*F24</f>
        <v>3.7582488563059551</v>
      </c>
      <c r="K24" s="16">
        <f>J24/($C$20*D24)*100</f>
        <v>58.869812912060695</v>
      </c>
    </row>
    <row r="25" spans="2:14" x14ac:dyDescent="0.25">
      <c r="C25" s="28"/>
      <c r="D25" s="12">
        <v>0.59</v>
      </c>
      <c r="E25" s="12">
        <v>260</v>
      </c>
      <c r="F25" s="11">
        <f t="shared" si="0"/>
        <v>27.227136331111538</v>
      </c>
      <c r="G25" s="12"/>
      <c r="H25" s="16">
        <f t="shared" si="1"/>
        <v>0.14108671010734039</v>
      </c>
      <c r="I25" s="16">
        <f t="shared" si="2"/>
        <v>1.4108671010734037</v>
      </c>
      <c r="J25" s="16">
        <f>H25*F25</f>
        <v>3.8413870906005689</v>
      </c>
      <c r="K25" s="16">
        <f>J25/($C$20*D25)*100</f>
        <v>57.11250506393948</v>
      </c>
    </row>
    <row r="27" spans="2:14" x14ac:dyDescent="0.25">
      <c r="G27" s="27" t="s">
        <v>48</v>
      </c>
      <c r="H27" s="27"/>
      <c r="I27" s="27"/>
      <c r="J27" s="27"/>
      <c r="K27" s="27"/>
    </row>
    <row r="29" spans="2:14" x14ac:dyDescent="0.25">
      <c r="C29" t="s">
        <v>5</v>
      </c>
      <c r="F29" s="4"/>
      <c r="M29" t="s">
        <v>5</v>
      </c>
    </row>
    <row r="30" spans="2:14" x14ac:dyDescent="0.25">
      <c r="C30" t="s">
        <v>38</v>
      </c>
      <c r="F30" s="4"/>
      <c r="M30" t="s">
        <v>38</v>
      </c>
    </row>
    <row r="31" spans="2:14" x14ac:dyDescent="0.25">
      <c r="C31" s="3" t="s">
        <v>6</v>
      </c>
      <c r="D31" s="16">
        <f>ABS(SLOPE(F20:F25,D20:D25))</f>
        <v>34.828778071032161</v>
      </c>
      <c r="F31" s="2"/>
      <c r="M31" s="3" t="s">
        <v>6</v>
      </c>
      <c r="N31" s="16">
        <f>ABS(SLOPE(D9:D13,F9:F13))</f>
        <v>3.5034756953345803E-4</v>
      </c>
    </row>
    <row r="32" spans="2:14" x14ac:dyDescent="0.25">
      <c r="C32" s="3" t="s">
        <v>7</v>
      </c>
      <c r="D32" s="16">
        <f>ABS(INTERCEPT(F20:F25,D20:D25))</f>
        <v>47.672810535328111</v>
      </c>
      <c r="F32" s="2"/>
      <c r="M32" s="3" t="s">
        <v>7</v>
      </c>
      <c r="N32" s="16">
        <f>ABS(INTERCEPT(D9:D13,F9:F13))</f>
        <v>5.1834090909090913E-2</v>
      </c>
    </row>
    <row r="34" spans="3:18" x14ac:dyDescent="0.25">
      <c r="C34" t="s">
        <v>10</v>
      </c>
      <c r="M34" t="s">
        <v>13</v>
      </c>
    </row>
    <row r="35" spans="3:18" x14ac:dyDescent="0.25">
      <c r="C35" s="22" t="s">
        <v>8</v>
      </c>
      <c r="D35" s="16">
        <f>C20/D32</f>
        <v>0.23913001713108542</v>
      </c>
      <c r="E35" s="16" t="s">
        <v>23</v>
      </c>
      <c r="F35" s="2"/>
      <c r="M35" s="22" t="s">
        <v>19</v>
      </c>
      <c r="N35" s="16">
        <f>D35*$N$32</f>
        <v>1.2395087047065149E-2</v>
      </c>
      <c r="O35" s="16" t="s">
        <v>21</v>
      </c>
    </row>
    <row r="36" spans="3:18" x14ac:dyDescent="0.25">
      <c r="C36" s="22" t="s">
        <v>9</v>
      </c>
      <c r="D36" s="17">
        <f>D35*D31</f>
        <v>8.3286062967806931</v>
      </c>
      <c r="E36" s="18" t="s">
        <v>22</v>
      </c>
      <c r="F36" s="2"/>
      <c r="M36" s="22" t="s">
        <v>12</v>
      </c>
      <c r="N36" s="16">
        <f>$N$31*D35</f>
        <v>8.3778620304369959E-5</v>
      </c>
      <c r="O36" s="16" t="s">
        <v>20</v>
      </c>
    </row>
    <row r="37" spans="3:18" x14ac:dyDescent="0.25">
      <c r="F37" s="2"/>
    </row>
    <row r="38" spans="3:18" x14ac:dyDescent="0.25">
      <c r="F38" s="5"/>
    </row>
    <row r="39" spans="3:18" x14ac:dyDescent="0.25">
      <c r="F39" s="4"/>
    </row>
    <row r="40" spans="3:18" x14ac:dyDescent="0.25">
      <c r="F40" s="2"/>
    </row>
    <row r="41" spans="3:18" x14ac:dyDescent="0.25">
      <c r="F41" s="2"/>
    </row>
    <row r="43" spans="3:18" x14ac:dyDescent="0.25"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3:18" x14ac:dyDescent="0.25">
      <c r="C44" s="29" t="s">
        <v>33</v>
      </c>
      <c r="D44" s="29"/>
      <c r="E44" s="29"/>
      <c r="F44" s="29"/>
      <c r="G44" s="2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3:18" ht="13.5" customHeight="1" x14ac:dyDescent="0.25">
      <c r="C45" s="31" t="s">
        <v>28</v>
      </c>
      <c r="D45" s="7" t="s">
        <v>0</v>
      </c>
      <c r="E45" s="20"/>
      <c r="F45" s="20" t="s">
        <v>36</v>
      </c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3:18" ht="14.1" customHeight="1" x14ac:dyDescent="0.25">
      <c r="C46" s="32"/>
      <c r="D46" s="8" t="s">
        <v>31</v>
      </c>
      <c r="E46" s="20">
        <v>434</v>
      </c>
      <c r="F46" s="20" t="s">
        <v>2</v>
      </c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3:18" ht="14.1" customHeight="1" x14ac:dyDescent="0.25">
      <c r="C47" s="32"/>
      <c r="D47" s="10" t="s">
        <v>19</v>
      </c>
      <c r="E47" s="16">
        <f>N35</f>
        <v>1.2395087047065149E-2</v>
      </c>
      <c r="F47" s="16" t="s">
        <v>25</v>
      </c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3:18" x14ac:dyDescent="0.25">
      <c r="C48" s="32"/>
      <c r="D48" s="10" t="s">
        <v>12</v>
      </c>
      <c r="E48" s="16">
        <f>N36</f>
        <v>8.3778620304369959E-5</v>
      </c>
      <c r="F48" s="16" t="s">
        <v>24</v>
      </c>
      <c r="I48" s="9"/>
      <c r="J48" s="9"/>
      <c r="K48" s="9"/>
      <c r="L48" s="9"/>
      <c r="M48" s="9"/>
      <c r="N48" s="9"/>
    </row>
    <row r="49" spans="3:18" x14ac:dyDescent="0.25">
      <c r="C49" s="32"/>
      <c r="D49" s="3" t="s">
        <v>29</v>
      </c>
      <c r="E49" s="20">
        <v>0.62</v>
      </c>
      <c r="F49" s="20" t="s">
        <v>26</v>
      </c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3:18" x14ac:dyDescent="0.25">
      <c r="C50" s="33"/>
      <c r="D50" s="3" t="s">
        <v>35</v>
      </c>
      <c r="E50" s="16">
        <f>(E48*E49)/LN((E48*PI()*E46/30+E47)/E47)</f>
        <v>1.9390518062803206E-4</v>
      </c>
      <c r="F50" s="16" t="s">
        <v>27</v>
      </c>
    </row>
    <row r="52" spans="3:18" x14ac:dyDescent="0.25">
      <c r="C52" s="30" t="s">
        <v>32</v>
      </c>
      <c r="D52" s="30"/>
      <c r="E52" s="30"/>
      <c r="F52" s="30"/>
    </row>
    <row r="53" spans="3:18" x14ac:dyDescent="0.25">
      <c r="C53" s="25" t="s">
        <v>34</v>
      </c>
      <c r="D53" s="25"/>
      <c r="E53" s="25"/>
      <c r="F53" s="26"/>
      <c r="G53" s="20">
        <v>0</v>
      </c>
      <c r="H53" s="21" t="s">
        <v>27</v>
      </c>
    </row>
    <row r="54" spans="3:18" x14ac:dyDescent="0.25">
      <c r="C54" s="25" t="s">
        <v>39</v>
      </c>
      <c r="D54" s="25"/>
      <c r="E54" s="25"/>
      <c r="F54" s="26"/>
      <c r="G54" s="16">
        <f>E50-G53</f>
        <v>1.9390518062803206E-4</v>
      </c>
      <c r="H54" s="19" t="s">
        <v>27</v>
      </c>
    </row>
  </sheetData>
  <mergeCells count="8">
    <mergeCell ref="C54:F54"/>
    <mergeCell ref="C53:F53"/>
    <mergeCell ref="J2:S2"/>
    <mergeCell ref="G27:K27"/>
    <mergeCell ref="C21:C25"/>
    <mergeCell ref="C44:G44"/>
    <mergeCell ref="C52:F52"/>
    <mergeCell ref="C45:C5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M6600-TOM</cp:lastModifiedBy>
  <dcterms:created xsi:type="dcterms:W3CDTF">2016-11-14T11:25:12Z</dcterms:created>
  <dcterms:modified xsi:type="dcterms:W3CDTF">2018-12-17T21:31:07Z</dcterms:modified>
</cp:coreProperties>
</file>